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limate_Change\Ocean_Warming\"/>
    </mc:Choice>
  </mc:AlternateContent>
  <xr:revisionPtr revIDLastSave="0" documentId="13_ncr:1_{CBE09E9E-7B39-47CE-9FA4-AD3AF1E215F5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1" l="1"/>
  <c r="M11" i="1"/>
  <c r="N7" i="1"/>
  <c r="L3" i="1"/>
  <c r="B22" i="1" l="1"/>
  <c r="D22" i="1" s="1"/>
  <c r="A75" i="1" l="1"/>
  <c r="D78" i="1" l="1"/>
  <c r="D77" i="1"/>
  <c r="B66" i="1"/>
  <c r="D66" i="1" s="1"/>
  <c r="E66" i="1" s="1"/>
  <c r="F66" i="1" s="1"/>
  <c r="D75" i="1"/>
  <c r="B72" i="1"/>
  <c r="D72" i="1"/>
  <c r="E72" i="1"/>
  <c r="F72" i="1" s="1"/>
  <c r="B70" i="1"/>
  <c r="D70" i="1" s="1"/>
  <c r="E70" i="1" s="1"/>
  <c r="F70" i="1" s="1"/>
  <c r="B68" i="1"/>
  <c r="D68" i="1" s="1"/>
  <c r="E68" i="1" s="1"/>
  <c r="F68" i="1" s="1"/>
  <c r="B64" i="1"/>
  <c r="D64" i="1" s="1"/>
  <c r="E64" i="1" s="1"/>
  <c r="F64" i="1" s="1"/>
  <c r="N34" i="1"/>
  <c r="O34" i="1" s="1"/>
  <c r="P34" i="1" s="1"/>
  <c r="N25" i="1"/>
  <c r="P22" i="1"/>
  <c r="N33" i="1" s="1"/>
  <c r="O33" i="1" s="1"/>
  <c r="P33" i="1" s="1"/>
  <c r="N28" i="1"/>
  <c r="O28" i="1" s="1"/>
  <c r="P28" i="1" s="1"/>
  <c r="N26" i="1"/>
  <c r="O26" i="1" s="1"/>
  <c r="P26" i="1" s="1"/>
  <c r="B10" i="1"/>
  <c r="B31" i="1"/>
  <c r="B13" i="1"/>
  <c r="B33" i="1" s="1"/>
  <c r="B24" i="1"/>
  <c r="B12" i="1"/>
  <c r="B11" i="1"/>
  <c r="B25" i="1"/>
  <c r="B26" i="1" s="1"/>
  <c r="B39" i="1"/>
  <c r="B38" i="1"/>
  <c r="B40" i="1" s="1"/>
  <c r="E13" i="1"/>
  <c r="B19" i="1"/>
  <c r="B37" i="1"/>
  <c r="E10" i="1"/>
  <c r="B9" i="1"/>
  <c r="N31" i="1" l="1"/>
  <c r="O31" i="1" s="1"/>
  <c r="P31" i="1" s="1"/>
  <c r="O25" i="1"/>
  <c r="P25" i="1" s="1"/>
  <c r="B44" i="1"/>
  <c r="C26" i="1"/>
  <c r="B28" i="1"/>
  <c r="B29" i="1" s="1"/>
  <c r="B35" i="1"/>
  <c r="C33" i="1" s="1"/>
  <c r="C25" i="1"/>
  <c r="B42" i="1"/>
  <c r="B34" i="1"/>
  <c r="C34" i="1" s="1"/>
  <c r="B36" i="1" l="1"/>
  <c r="C35" i="1"/>
  <c r="C31" i="1"/>
  <c r="C32" i="1"/>
  <c r="B45" i="1"/>
</calcChain>
</file>

<file path=xl/sharedStrings.xml><?xml version="1.0" encoding="utf-8"?>
<sst xmlns="http://schemas.openxmlformats.org/spreadsheetml/2006/main" count="183" uniqueCount="141">
  <si>
    <t>https://www.grc.nasa.gov/www/BGH/airprop.html</t>
  </si>
  <si>
    <t>http://nssdc.gsfc.nasa.gov/planetary/factsheet/earthfact.html</t>
  </si>
  <si>
    <t>Volume of the Earth + 2 meters</t>
  </si>
  <si>
    <t>Difference</t>
  </si>
  <si>
    <t xml:space="preserve">Difference </t>
  </si>
  <si>
    <t>Kg</t>
  </si>
  <si>
    <t>J/K</t>
  </si>
  <si>
    <t>Mass of atmosphere: 5.1x10^18Kg</t>
  </si>
  <si>
    <t>0 deg C=</t>
  </si>
  <si>
    <t>20 deg C=</t>
  </si>
  <si>
    <t>http://www.kayelaby.npl.co.uk/general_physics/2_7/2_7_9.html</t>
  </si>
  <si>
    <t>Specific Heat Capacity of ocean water J/KgK</t>
  </si>
  <si>
    <t>Definition of heat capacity and specific heat capacity:</t>
  </si>
  <si>
    <t>http://chemwiki.ucdavis.edu/Physical_Chemistry/Thermodynamics/Calorimetry/Heat_Capacity</t>
  </si>
  <si>
    <t>Heat Capacity of the Ocean is 5.6x10^24 Joules/Degree Kelvin</t>
  </si>
  <si>
    <t>Heat capacity of the lower 2 meters of atmosphere</t>
  </si>
  <si>
    <t>Total heat capacity, Ocean + Atmosphere</t>
  </si>
  <si>
    <t>Notes on heat capacity of water</t>
  </si>
  <si>
    <t>http://www.ocean.washington.edu/courses/oc400/Lecture_Notes/CHPT3.pdf</t>
  </si>
  <si>
    <r>
      <t>J/(Kg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>K)</t>
    </r>
  </si>
  <si>
    <t>Specific heat capacity of ocean water</t>
  </si>
  <si>
    <t>Critical Parameters for computing surface and near surface temperature and heat capacity on Earth</t>
  </si>
  <si>
    <t>Density of sea water at the surface</t>
  </si>
  <si>
    <t>Kg/m3</t>
  </si>
  <si>
    <t>Earth Fact Sheet</t>
  </si>
  <si>
    <t>Atmosphere fact sheet</t>
  </si>
  <si>
    <t>Average depth of the ocean is 12,100 feet</t>
  </si>
  <si>
    <t>m</t>
  </si>
  <si>
    <t>http://oceanservice.noaa.gov/facts/oceandepth.html</t>
  </si>
  <si>
    <t>Ocean water volume is 1.335 billion cubic Km</t>
  </si>
  <si>
    <t>Ocean area is 361.9 million Km2</t>
  </si>
  <si>
    <t>http://www.ngdc.noaa.gov/mgg/global/etopo1_ocean_volumes.html</t>
  </si>
  <si>
    <t>m3</t>
  </si>
  <si>
    <t>Mass of Oceans: 1.35x10^21Kg (1.35x10^18 metric tonnes)</t>
  </si>
  <si>
    <t>http://hyperphysics.phy-astr.gsu.edu/hbase/chemical/seawater.html</t>
  </si>
  <si>
    <t>References</t>
  </si>
  <si>
    <t>Notes</t>
  </si>
  <si>
    <t>Mixed layer definition: http://www.esr.org/outreach/glossary/mixed_layer.html</t>
  </si>
  <si>
    <t>See also: http://www.ifremer.fr/cerweb/deboyer/mld/Surface_Mixed_Layer_Depth.php</t>
  </si>
  <si>
    <t>m2</t>
  </si>
  <si>
    <t>Computed</t>
  </si>
  <si>
    <t>Heat Capacity of the upper 3.5 meters of the ocean</t>
  </si>
  <si>
    <t>Heat capacity of the upper 3.5 meters of the ocean is equal to the whole atmosphere</t>
  </si>
  <si>
    <t>Radius of Earth = 3959 miles or 6,371 Km (Volumetric mean)</t>
  </si>
  <si>
    <t>Volume of the Earth 108.321x10^10 km3</t>
  </si>
  <si>
    <t>The upper 3.5 meters of the ocean hold as much heat as the entire atmosphere above it.</t>
  </si>
  <si>
    <t>Average ocean depth</t>
  </si>
  <si>
    <t>Ocean volumes and area</t>
  </si>
  <si>
    <t>Sea water composition and density</t>
  </si>
  <si>
    <t>Heat capacity definitions</t>
  </si>
  <si>
    <t>Avg Ocean Temp</t>
  </si>
  <si>
    <t>Deg C</t>
  </si>
  <si>
    <t>Temperature with no greenhouse effect</t>
  </si>
  <si>
    <t>Joules</t>
  </si>
  <si>
    <t>Atmospheric average temperature</t>
  </si>
  <si>
    <t>https://www2.ucar.edu/climate/faq/what-average-global-temperature-now</t>
  </si>
  <si>
    <t>http://www.currentresults.com/Environment-Facts/changes-in-earth-temperature.php</t>
  </si>
  <si>
    <t>Black body temperature of the Earth</t>
  </si>
  <si>
    <t>http://www.atmos.washington.edu/2001Q1/211/notes_for_011001_lecture.html</t>
  </si>
  <si>
    <t>Mass of lower 2 meters of atmosphere (Density=1.229 Kg/m3)</t>
  </si>
  <si>
    <r>
      <t>J/</t>
    </r>
    <r>
      <rPr>
        <sz val="11"/>
        <color theme="1"/>
        <rFont val="Calibri"/>
        <family val="2"/>
        <scheme val="minor"/>
      </rPr>
      <t>K</t>
    </r>
  </si>
  <si>
    <t>Deg C to K</t>
  </si>
  <si>
    <t>K</t>
  </si>
  <si>
    <t>Ocean heat content above 0K</t>
  </si>
  <si>
    <t>Atmospheric heat content above 0K</t>
  </si>
  <si>
    <t>wt avg Kelvin to 22 Km</t>
  </si>
  <si>
    <r>
      <t>Atmospheric heat/Total heat (above 0K</t>
    </r>
    <r>
      <rPr>
        <sz val="11"/>
        <color theme="1"/>
        <rFont val="Calibri"/>
        <family val="2"/>
      </rPr>
      <t>)</t>
    </r>
  </si>
  <si>
    <t>http://www.engineeringtoolbox.com/air-specific-heat-capacity-d_705.html</t>
  </si>
  <si>
    <t>Earth + 2 Meters (m3)</t>
  </si>
  <si>
    <t>Joules from RATPAC A calculation up to 22 Km</t>
  </si>
  <si>
    <t>Mass of lower 22 Km of atmosphere</t>
  </si>
  <si>
    <t>From RATPAC A spreadsheet</t>
  </si>
  <si>
    <t>Density of air  at surface</t>
  </si>
  <si>
    <t>Avg air density to 22 Km</t>
  </si>
  <si>
    <t>Using entire atmospheric mass</t>
  </si>
  <si>
    <t>Computed,</t>
  </si>
  <si>
    <t>Avg Temp of Oceans 0-2000 m</t>
  </si>
  <si>
    <t>Avg Temp of Oceans 2000-3688 m</t>
  </si>
  <si>
    <t>From argo avg temp xlsx</t>
  </si>
  <si>
    <t>Avg from Argo at 2000 m and normally assumed temp of about zero at 3688 m</t>
  </si>
  <si>
    <t>Volumetric average</t>
  </si>
  <si>
    <t>Percent of the Earth's heat in the lower 2 meters of the atmosphere</t>
  </si>
  <si>
    <t>Heat capacity of the upper 59 meters of the ocean (Mixed Layer)</t>
  </si>
  <si>
    <t>Heat capacity of the ocean mixed layer</t>
  </si>
  <si>
    <t>times the heat capacity of the atmosphere</t>
  </si>
  <si>
    <t>Heat Capacity of the atmosphere to 22 km</t>
  </si>
  <si>
    <t>Heat Capacity of the atmosphere (to 22 km) Joules/Degree Kelvin</t>
  </si>
  <si>
    <t>Specific Heat capacity of air (0-22 km) 1005 J/KgK</t>
  </si>
  <si>
    <t>of the total heat capacity</t>
  </si>
  <si>
    <t>Roughly 99.93% of the heat is in the oceans</t>
  </si>
  <si>
    <r>
      <t>Specific Heat capacity of supercritical carbon dioxide (92 bar, 464</t>
    </r>
    <r>
      <rPr>
        <sz val="11"/>
        <color theme="1"/>
        <rFont val="Calibri"/>
        <family val="2"/>
      </rPr>
      <t>°C)</t>
    </r>
  </si>
  <si>
    <r>
      <t>Specific Heat capacity of carbon dioxide gas (1 bar, 15</t>
    </r>
    <r>
      <rPr>
        <sz val="11"/>
        <color theme="1"/>
        <rFont val="Calibri"/>
        <family val="2"/>
      </rPr>
      <t>°C)</t>
    </r>
  </si>
  <si>
    <t>http://www.peacesoftware.de/einigewerte/co2_e.html</t>
  </si>
  <si>
    <t>1 joule/second = 1 watt</t>
  </si>
  <si>
    <t>Net clear ocean surface longwave</t>
  </si>
  <si>
    <t>W/m2</t>
  </si>
  <si>
    <t>J/sec or</t>
  </si>
  <si>
    <t>K/sec</t>
  </si>
  <si>
    <t>Seconds/year</t>
  </si>
  <si>
    <t>K/year</t>
  </si>
  <si>
    <t>CO2 contribution</t>
  </si>
  <si>
    <t>Surface area of the Earth</t>
  </si>
  <si>
    <t>km2</t>
  </si>
  <si>
    <t>or</t>
  </si>
  <si>
    <t>W Ocean</t>
  </si>
  <si>
    <t>Ocean</t>
  </si>
  <si>
    <t>Total Earth's surface</t>
  </si>
  <si>
    <t>Clear LW</t>
  </si>
  <si>
    <t>Cloudy LW</t>
  </si>
  <si>
    <t>CO2 Lw</t>
  </si>
  <si>
    <t>Albedo</t>
  </si>
  <si>
    <t>Convert power to surface temperature (W/m2) input TOA</t>
  </si>
  <si>
    <t>divide by 4</t>
  </si>
  <si>
    <t>corr albedo</t>
  </si>
  <si>
    <t>Kelvin</t>
  </si>
  <si>
    <t>same</t>
  </si>
  <si>
    <t>°C</t>
  </si>
  <si>
    <t>Peak surface temperature day side (Moon)</t>
  </si>
  <si>
    <t>Peak surface temperature day side (Earth)</t>
  </si>
  <si>
    <t>Avg temp of Earth</t>
  </si>
  <si>
    <r>
      <t>emissivity (</t>
    </r>
    <r>
      <rPr>
        <sz val="11"/>
        <color theme="1"/>
        <rFont val="Calibri"/>
        <family val="2"/>
      </rPr>
      <t>ϵ)</t>
    </r>
  </si>
  <si>
    <r>
      <t>W/m</t>
    </r>
    <r>
      <rPr>
        <vertAlign val="superscript"/>
        <sz val="11"/>
        <color theme="1"/>
        <rFont val="Calibri"/>
        <family val="2"/>
        <scheme val="minor"/>
      </rPr>
      <t>2</t>
    </r>
  </si>
  <si>
    <t>σ (Stefan - Boltzmann constant)</t>
  </si>
  <si>
    <t>Earth</t>
  </si>
  <si>
    <t>Moon</t>
  </si>
  <si>
    <t>See here</t>
  </si>
  <si>
    <t>https://wattsupwiththat.com/2012/01/08/the-moon-is-a-cold-mistress/</t>
  </si>
  <si>
    <t>Emitted power</t>
  </si>
  <si>
    <t>Temp</t>
  </si>
  <si>
    <t>Mixed layer</t>
  </si>
  <si>
    <t>sq mi</t>
  </si>
  <si>
    <t>sq km</t>
  </si>
  <si>
    <t>fraction of ocean</t>
  </si>
  <si>
    <t>Area of whole Earth</t>
  </si>
  <si>
    <t>sq m</t>
  </si>
  <si>
    <t>ratio ocean/land</t>
  </si>
  <si>
    <t>Spreadsheet Author: Andy May</t>
  </si>
  <si>
    <t>Ocean mass/atm mass</t>
  </si>
  <si>
    <t>Heat capacity ocean/atm</t>
  </si>
  <si>
    <t>sp.heat capacity seawater/air</t>
  </si>
  <si>
    <t>Net Cloudy ocean surface longwave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</si>
</sst>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%"/>
    <numFmt numFmtId="165" formatCode="0.00000000%"/>
    <numFmt numFmtId="166" formatCode="0.0"/>
    <numFmt numFmtId="167" formatCode="0.000%"/>
    <numFmt numFmtId="168" formatCode="0.000"/>
    <numFmt numFmtId="169" formatCode="0.000000000%"/>
  </numFmts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1" fillId="0" borderId="0" xfId="1" applyAlignment="1" applyProtection="1"/>
    <xf numFmtId="11" fontId="0" fillId="0" borderId="0" xfId="0" applyNumberFormat="1"/>
    <xf numFmtId="0" fontId="0" fillId="0" borderId="0" xfId="0" applyAlignment="1">
      <alignment horizontal="right"/>
    </xf>
    <xf numFmtId="164" fontId="1" fillId="0" borderId="0" xfId="1" applyNumberFormat="1" applyAlignment="1" applyProtection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NumberFormat="1"/>
    <xf numFmtId="10" fontId="0" fillId="0" borderId="0" xfId="0" applyNumberFormat="1"/>
    <xf numFmtId="167" fontId="0" fillId="0" borderId="0" xfId="0" applyNumberFormat="1"/>
    <xf numFmtId="0" fontId="0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2" borderId="0" xfId="0" applyFill="1"/>
    <xf numFmtId="11" fontId="0" fillId="2" borderId="0" xfId="0" applyNumberFormat="1" applyFill="1"/>
    <xf numFmtId="168" fontId="0" fillId="2" borderId="0" xfId="0" applyNumberFormat="1" applyFill="1"/>
    <xf numFmtId="169" fontId="0" fillId="0" borderId="0" xfId="0" applyNumberFormat="1"/>
    <xf numFmtId="10" fontId="0" fillId="2" borderId="0" xfId="0" applyNumberFormat="1" applyFill="1"/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nssdc.gsfc.nasa.gov/planetary/factsheet/earthfact.html" TargetMode="External"/><Relationship Id="rId2" Type="http://schemas.openxmlformats.org/officeDocument/2006/relationships/hyperlink" Target="http://nssdc.gsfc.nasa.gov/planetary/factsheet/earthfact.html" TargetMode="External"/><Relationship Id="rId1" Type="http://schemas.openxmlformats.org/officeDocument/2006/relationships/hyperlink" Target="https://www.grc.nasa.gov/www/BGH/airprop.htm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attsupwiththat.com/2012/01/08/the-moon-is-a-cold-mistress/" TargetMode="External"/><Relationship Id="rId4" Type="http://schemas.openxmlformats.org/officeDocument/2006/relationships/hyperlink" Target="https://www.grc.nasa.gov/www/BGH/airprop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0"/>
  <sheetViews>
    <sheetView tabSelected="1" workbookViewId="0">
      <selection activeCell="I27" sqref="I27"/>
    </sheetView>
  </sheetViews>
  <sheetFormatPr defaultRowHeight="15" x14ac:dyDescent="0.25"/>
  <cols>
    <col min="1" max="1" width="59.7109375" customWidth="1"/>
    <col min="2" max="2" width="21" customWidth="1"/>
    <col min="3" max="3" width="17.85546875" customWidth="1"/>
    <col min="4" max="4" width="10.85546875" customWidth="1"/>
    <col min="12" max="12" width="11.28515625" customWidth="1"/>
    <col min="14" max="14" width="13.28515625" bestFit="1" customWidth="1"/>
    <col min="16" max="16" width="10" bestFit="1" customWidth="1"/>
  </cols>
  <sheetData>
    <row r="1" spans="1:15" ht="18.75" x14ac:dyDescent="0.3">
      <c r="A1" s="22" t="s">
        <v>21</v>
      </c>
      <c r="B1" s="22"/>
      <c r="C1" s="22"/>
      <c r="D1" s="22"/>
      <c r="E1" s="22"/>
      <c r="F1" s="22"/>
      <c r="G1" s="22"/>
    </row>
    <row r="2" spans="1:15" ht="18.75" x14ac:dyDescent="0.3">
      <c r="A2" s="21" t="s">
        <v>136</v>
      </c>
      <c r="B2" s="21"/>
      <c r="C2" s="21"/>
      <c r="D2" s="21"/>
      <c r="E2" s="21"/>
      <c r="F2" s="21"/>
      <c r="G2" s="21"/>
    </row>
    <row r="3" spans="1:15" x14ac:dyDescent="0.25">
      <c r="A3" t="s">
        <v>7</v>
      </c>
      <c r="B3" s="2">
        <v>5.1E+18</v>
      </c>
      <c r="C3" t="s">
        <v>5</v>
      </c>
      <c r="J3" t="s">
        <v>137</v>
      </c>
      <c r="L3" s="6">
        <f>B5/B3</f>
        <v>264.70588235294116</v>
      </c>
    </row>
    <row r="4" spans="1:15" x14ac:dyDescent="0.25">
      <c r="A4" t="s">
        <v>70</v>
      </c>
      <c r="B4" s="2">
        <v>3.8309874962317937E+18</v>
      </c>
      <c r="C4" t="s">
        <v>5</v>
      </c>
      <c r="D4" t="s">
        <v>71</v>
      </c>
    </row>
    <row r="5" spans="1:15" x14ac:dyDescent="0.25">
      <c r="A5" t="s">
        <v>33</v>
      </c>
      <c r="B5" s="2">
        <v>1.35E+21</v>
      </c>
      <c r="C5" t="s">
        <v>5</v>
      </c>
      <c r="L5" s="6"/>
    </row>
    <row r="6" spans="1:15" x14ac:dyDescent="0.25">
      <c r="A6" t="s">
        <v>29</v>
      </c>
      <c r="B6" s="2">
        <v>1.335E+18</v>
      </c>
      <c r="C6" t="s">
        <v>32</v>
      </c>
      <c r="D6" t="s">
        <v>31</v>
      </c>
      <c r="L6">
        <v>600000</v>
      </c>
      <c r="M6" t="s">
        <v>130</v>
      </c>
      <c r="N6">
        <v>1553993.9</v>
      </c>
      <c r="O6" t="s">
        <v>131</v>
      </c>
    </row>
    <row r="7" spans="1:15" x14ac:dyDescent="0.25">
      <c r="A7" t="s">
        <v>22</v>
      </c>
      <c r="B7">
        <v>1027</v>
      </c>
      <c r="C7" t="s">
        <v>23</v>
      </c>
      <c r="D7" t="s">
        <v>34</v>
      </c>
      <c r="L7" t="s">
        <v>132</v>
      </c>
      <c r="N7" s="18">
        <f>N6/B8</f>
        <v>4.293987012987013E-9</v>
      </c>
    </row>
    <row r="8" spans="1:15" x14ac:dyDescent="0.25">
      <c r="A8" t="s">
        <v>30</v>
      </c>
      <c r="B8" s="2">
        <v>361900000000000</v>
      </c>
      <c r="C8" t="s">
        <v>39</v>
      </c>
      <c r="D8" t="s">
        <v>31</v>
      </c>
    </row>
    <row r="9" spans="1:15" x14ac:dyDescent="0.25">
      <c r="A9" t="s">
        <v>26</v>
      </c>
      <c r="B9">
        <f>12100*0.3048</f>
        <v>3688.0800000000004</v>
      </c>
      <c r="C9" t="s">
        <v>27</v>
      </c>
      <c r="D9" t="s">
        <v>28</v>
      </c>
    </row>
    <row r="10" spans="1:15" x14ac:dyDescent="0.25">
      <c r="A10" t="s">
        <v>14</v>
      </c>
      <c r="B10" s="2">
        <f>B5*B17</f>
        <v>5.3865E+24</v>
      </c>
      <c r="C10" t="s">
        <v>6</v>
      </c>
      <c r="D10" t="s">
        <v>40</v>
      </c>
      <c r="E10" s="2">
        <f>B5*B17</f>
        <v>5.3865E+24</v>
      </c>
    </row>
    <row r="11" spans="1:15" x14ac:dyDescent="0.25">
      <c r="A11" t="s">
        <v>41</v>
      </c>
      <c r="B11" s="2">
        <f>$B$8*3.5*$B$17*$B$7</f>
        <v>5.1903897044999995E+21</v>
      </c>
      <c r="C11" t="s">
        <v>6</v>
      </c>
      <c r="D11" t="s">
        <v>42</v>
      </c>
      <c r="M11" s="6">
        <f>B10/B13</f>
        <v>1399.0391505608361</v>
      </c>
      <c r="N11" t="s">
        <v>138</v>
      </c>
    </row>
    <row r="12" spans="1:15" x14ac:dyDescent="0.25">
      <c r="A12" s="15" t="s">
        <v>82</v>
      </c>
      <c r="B12" s="16">
        <f>$B$8*59*$B$17*$B$7</f>
        <v>8.7495140733000002E+22</v>
      </c>
      <c r="C12" s="15" t="s">
        <v>6</v>
      </c>
      <c r="D12" t="s">
        <v>83</v>
      </c>
      <c r="M12">
        <f>B17/B14</f>
        <v>3.9701492537313432</v>
      </c>
      <c r="N12" t="s">
        <v>139</v>
      </c>
    </row>
    <row r="13" spans="1:15" x14ac:dyDescent="0.25">
      <c r="A13" t="s">
        <v>86</v>
      </c>
      <c r="B13" s="2">
        <f>B4*B14</f>
        <v>3.8501424337129528E+21</v>
      </c>
      <c r="C13" t="s">
        <v>6</v>
      </c>
      <c r="D13" t="s">
        <v>75</v>
      </c>
      <c r="E13" s="2">
        <f>B3*B14</f>
        <v>5.1254999999999996E+21</v>
      </c>
      <c r="F13" t="s">
        <v>74</v>
      </c>
    </row>
    <row r="14" spans="1:15" x14ac:dyDescent="0.25">
      <c r="A14" t="s">
        <v>87</v>
      </c>
      <c r="B14">
        <v>1005</v>
      </c>
      <c r="C14" t="s">
        <v>19</v>
      </c>
      <c r="D14" t="s">
        <v>67</v>
      </c>
    </row>
    <row r="15" spans="1:15" x14ac:dyDescent="0.25">
      <c r="A15" t="s">
        <v>91</v>
      </c>
      <c r="B15">
        <v>841</v>
      </c>
      <c r="C15" t="s">
        <v>19</v>
      </c>
      <c r="D15" t="s">
        <v>92</v>
      </c>
    </row>
    <row r="16" spans="1:15" x14ac:dyDescent="0.25">
      <c r="A16" t="s">
        <v>90</v>
      </c>
      <c r="B16">
        <v>1185</v>
      </c>
      <c r="C16" t="s">
        <v>19</v>
      </c>
      <c r="D16" t="s">
        <v>92</v>
      </c>
    </row>
    <row r="17" spans="1:17" x14ac:dyDescent="0.25">
      <c r="A17" t="s">
        <v>11</v>
      </c>
      <c r="B17">
        <v>3990</v>
      </c>
      <c r="C17" t="s">
        <v>19</v>
      </c>
      <c r="D17" t="s">
        <v>8</v>
      </c>
      <c r="E17">
        <v>3985</v>
      </c>
      <c r="G17" t="s">
        <v>9</v>
      </c>
      <c r="H17">
        <v>3993</v>
      </c>
      <c r="I17" t="s">
        <v>10</v>
      </c>
    </row>
    <row r="18" spans="1:17" x14ac:dyDescent="0.25">
      <c r="A18" t="s">
        <v>72</v>
      </c>
      <c r="B18">
        <v>1.2290000000000001</v>
      </c>
      <c r="C18" t="s">
        <v>23</v>
      </c>
      <c r="D18" s="1" t="s">
        <v>0</v>
      </c>
    </row>
    <row r="19" spans="1:17" x14ac:dyDescent="0.25">
      <c r="A19" t="s">
        <v>73</v>
      </c>
      <c r="B19" s="6">
        <f>B4/11069900000000000000</f>
        <v>0.34607245740537795</v>
      </c>
      <c r="C19" t="s">
        <v>23</v>
      </c>
      <c r="D19" s="1"/>
    </row>
    <row r="20" spans="1:17" x14ac:dyDescent="0.25">
      <c r="A20" t="s">
        <v>61</v>
      </c>
      <c r="B20">
        <v>273.14999999999998</v>
      </c>
      <c r="C20" t="s">
        <v>51</v>
      </c>
    </row>
    <row r="21" spans="1:17" x14ac:dyDescent="0.25">
      <c r="A21" t="s">
        <v>93</v>
      </c>
      <c r="M21" t="s">
        <v>101</v>
      </c>
      <c r="P21" s="2">
        <v>510000000</v>
      </c>
      <c r="Q21" t="s">
        <v>102</v>
      </c>
    </row>
    <row r="22" spans="1:17" x14ac:dyDescent="0.25">
      <c r="A22" t="s">
        <v>133</v>
      </c>
      <c r="B22" s="2">
        <f>4*PI()*6371000^2</f>
        <v>510064471909788.25</v>
      </c>
      <c r="C22" t="s">
        <v>134</v>
      </c>
      <c r="D22" s="10">
        <f>B8/B22</f>
        <v>0.70951814903902355</v>
      </c>
      <c r="E22" t="s">
        <v>135</v>
      </c>
      <c r="O22" t="s">
        <v>103</v>
      </c>
      <c r="P22" s="2">
        <f>P21*1000000</f>
        <v>510000000000000</v>
      </c>
    </row>
    <row r="23" spans="1:17" x14ac:dyDescent="0.25">
      <c r="A23" t="s">
        <v>43</v>
      </c>
      <c r="C23" s="4">
        <v>1</v>
      </c>
      <c r="D23" s="1" t="s">
        <v>1</v>
      </c>
      <c r="N23" t="s">
        <v>96</v>
      </c>
      <c r="O23" t="s">
        <v>97</v>
      </c>
      <c r="P23" t="s">
        <v>99</v>
      </c>
    </row>
    <row r="24" spans="1:17" x14ac:dyDescent="0.25">
      <c r="A24" t="s">
        <v>44</v>
      </c>
      <c r="B24">
        <f>4/3*PI()*6371000^3</f>
        <v>1.0832069168457536E+21</v>
      </c>
      <c r="C24" s="5" t="s">
        <v>32</v>
      </c>
      <c r="M24" t="s">
        <v>95</v>
      </c>
      <c r="N24" t="s">
        <v>104</v>
      </c>
      <c r="O24" t="s">
        <v>105</v>
      </c>
      <c r="P24" t="s">
        <v>105</v>
      </c>
    </row>
    <row r="25" spans="1:17" x14ac:dyDescent="0.25">
      <c r="A25" t="s">
        <v>2</v>
      </c>
      <c r="B25">
        <f>4/3*PI()*6371002^3</f>
        <v>1.0832079369750176E+21</v>
      </c>
      <c r="C25" s="4">
        <f>B25/B24</f>
        <v>1.000000941767679</v>
      </c>
      <c r="D25" t="s">
        <v>68</v>
      </c>
      <c r="I25" t="s">
        <v>94</v>
      </c>
      <c r="M25">
        <v>112</v>
      </c>
      <c r="N25" s="2">
        <f>M25*B8</f>
        <v>4.05328E+16</v>
      </c>
      <c r="O25" s="2">
        <f>N25/B10</f>
        <v>7.5248862897985698E-9</v>
      </c>
      <c r="P25" s="2">
        <f>O25*M27</f>
        <v>0.23733491358024689</v>
      </c>
    </row>
    <row r="26" spans="1:17" x14ac:dyDescent="0.25">
      <c r="A26" s="3" t="s">
        <v>4</v>
      </c>
      <c r="B26">
        <f>B25-B24</f>
        <v>1020129264009216</v>
      </c>
      <c r="C26" s="5">
        <f>B26/B24</f>
        <v>9.4176767905044705E-7</v>
      </c>
      <c r="D26" t="s">
        <v>3</v>
      </c>
      <c r="E26" t="s">
        <v>32</v>
      </c>
      <c r="I26" t="s">
        <v>140</v>
      </c>
      <c r="M26">
        <v>66</v>
      </c>
      <c r="N26" s="2">
        <f>M26*$B$8</f>
        <v>2.38854E+16</v>
      </c>
      <c r="O26" s="2">
        <f>N26/$B$10</f>
        <v>4.4343079922027291E-9</v>
      </c>
      <c r="P26" s="2">
        <f>O26*$M$27</f>
        <v>0.13985807407407408</v>
      </c>
    </row>
    <row r="27" spans="1:17" x14ac:dyDescent="0.25">
      <c r="C27" s="5"/>
      <c r="I27" t="s">
        <v>98</v>
      </c>
      <c r="M27" s="2">
        <v>31540000</v>
      </c>
    </row>
    <row r="28" spans="1:17" x14ac:dyDescent="0.25">
      <c r="A28" t="s">
        <v>59</v>
      </c>
      <c r="B28">
        <f>B18*B26</f>
        <v>1253738865467326.5</v>
      </c>
      <c r="C28" s="5" t="s">
        <v>5</v>
      </c>
      <c r="I28" t="s">
        <v>100</v>
      </c>
      <c r="M28">
        <v>32</v>
      </c>
      <c r="N28" s="2">
        <f>M28*$B$8</f>
        <v>1.15808E+16</v>
      </c>
      <c r="O28" s="2">
        <f>N28/$B$10</f>
        <v>2.1499675113710201E-9</v>
      </c>
      <c r="P28" s="2">
        <f>O28*$M$27</f>
        <v>6.7809975308641968E-2</v>
      </c>
    </row>
    <row r="29" spans="1:17" x14ac:dyDescent="0.25">
      <c r="A29" t="s">
        <v>15</v>
      </c>
      <c r="B29">
        <f>B28*B14</f>
        <v>1.2600075597946632E+18</v>
      </c>
      <c r="C29" t="s">
        <v>60</v>
      </c>
    </row>
    <row r="30" spans="1:17" x14ac:dyDescent="0.25">
      <c r="C30" s="5"/>
      <c r="M30" t="s">
        <v>106</v>
      </c>
    </row>
    <row r="31" spans="1:17" x14ac:dyDescent="0.25">
      <c r="A31" t="s">
        <v>14</v>
      </c>
      <c r="B31" s="2">
        <f>B10</f>
        <v>5.3865E+24</v>
      </c>
      <c r="C31" s="11">
        <f>B31/B35</f>
        <v>0.99928573425993161</v>
      </c>
      <c r="D31" t="s">
        <v>88</v>
      </c>
      <c r="L31" t="s">
        <v>107</v>
      </c>
      <c r="M31">
        <v>112</v>
      </c>
      <c r="N31" s="2">
        <f>M31*$P$22</f>
        <v>5.712E+16</v>
      </c>
      <c r="O31" s="2">
        <f>N31/$B$10</f>
        <v>1.0604288499025341E-8</v>
      </c>
      <c r="P31" s="2">
        <f>O31*$M$27</f>
        <v>0.33445925925925923</v>
      </c>
    </row>
    <row r="32" spans="1:17" x14ac:dyDescent="0.25">
      <c r="A32" t="s">
        <v>129</v>
      </c>
      <c r="B32" s="2"/>
      <c r="C32" s="11">
        <f>B12/B35</f>
        <v>1.6231810257412414E-2</v>
      </c>
      <c r="N32" s="2"/>
      <c r="O32" s="2"/>
      <c r="P32" s="2"/>
    </row>
    <row r="33" spans="1:16" x14ac:dyDescent="0.25">
      <c r="A33" t="s">
        <v>85</v>
      </c>
      <c r="B33" s="2">
        <f>B13</f>
        <v>3.8501424337129528E+21</v>
      </c>
      <c r="C33" s="11">
        <f>B33/B35</f>
        <v>7.142657400683502E-4</v>
      </c>
      <c r="D33" t="s">
        <v>88</v>
      </c>
      <c r="L33" t="s">
        <v>108</v>
      </c>
      <c r="M33">
        <v>66</v>
      </c>
      <c r="N33" s="2">
        <f t="shared" ref="N33:N34" si="0">M33*$P$22</f>
        <v>3.366E+16</v>
      </c>
      <c r="O33" s="2">
        <f t="shared" ref="O33:O34" si="1">N33/$B$10</f>
        <v>6.2489557226399335E-9</v>
      </c>
      <c r="P33" s="2">
        <f t="shared" ref="P33:P34" si="2">O33*$M$27</f>
        <v>0.19709206349206351</v>
      </c>
    </row>
    <row r="34" spans="1:16" x14ac:dyDescent="0.25">
      <c r="A34" s="15" t="s">
        <v>83</v>
      </c>
      <c r="B34" s="16">
        <f>B12</f>
        <v>8.7495140733000002E+22</v>
      </c>
      <c r="C34" s="17">
        <f>B34/B33</f>
        <v>22.725169844852342</v>
      </c>
      <c r="D34" t="s">
        <v>84</v>
      </c>
      <c r="L34" t="s">
        <v>109</v>
      </c>
      <c r="M34">
        <v>32</v>
      </c>
      <c r="N34" s="2">
        <f t="shared" si="0"/>
        <v>1.632E+16</v>
      </c>
      <c r="O34" s="2">
        <f t="shared" si="1"/>
        <v>3.0297967140072405E-9</v>
      </c>
      <c r="P34" s="2">
        <f t="shared" si="2"/>
        <v>9.5559788359788372E-2</v>
      </c>
    </row>
    <row r="35" spans="1:16" x14ac:dyDescent="0.25">
      <c r="A35" t="s">
        <v>16</v>
      </c>
      <c r="B35" s="2">
        <f>B31+B33</f>
        <v>5.3903501424337131E+24</v>
      </c>
      <c r="C35" s="11">
        <f>SUM(C33,C31)</f>
        <v>1</v>
      </c>
      <c r="D35" t="s">
        <v>6</v>
      </c>
    </row>
    <row r="36" spans="1:16" x14ac:dyDescent="0.25">
      <c r="A36" t="s">
        <v>81</v>
      </c>
      <c r="B36" s="7">
        <f>B29/B35</f>
        <v>2.3375245141789189E-7</v>
      </c>
    </row>
    <row r="37" spans="1:16" x14ac:dyDescent="0.25">
      <c r="A37" t="s">
        <v>52</v>
      </c>
      <c r="B37" s="8">
        <f>B20-18</f>
        <v>255.14999999999998</v>
      </c>
      <c r="C37" t="s">
        <v>62</v>
      </c>
    </row>
    <row r="38" spans="1:16" x14ac:dyDescent="0.25">
      <c r="A38" t="s">
        <v>76</v>
      </c>
      <c r="B38" s="8">
        <f>B20+7.004048</f>
        <v>280.15404799999999</v>
      </c>
      <c r="C38" t="s">
        <v>62</v>
      </c>
      <c r="D38" t="s">
        <v>78</v>
      </c>
    </row>
    <row r="39" spans="1:16" x14ac:dyDescent="0.25">
      <c r="A39" t="s">
        <v>77</v>
      </c>
      <c r="B39" s="8">
        <f>B20+3.5</f>
        <v>276.64999999999998</v>
      </c>
      <c r="C39" t="s">
        <v>62</v>
      </c>
      <c r="D39" t="s">
        <v>79</v>
      </c>
    </row>
    <row r="40" spans="1:16" x14ac:dyDescent="0.25">
      <c r="A40" t="s">
        <v>50</v>
      </c>
      <c r="B40" s="8">
        <f>(2000*B38+1688*B39)/3688</f>
        <v>278.55024295010844</v>
      </c>
      <c r="C40" t="s">
        <v>62</v>
      </c>
      <c r="D40" t="s">
        <v>80</v>
      </c>
    </row>
    <row r="41" spans="1:16" x14ac:dyDescent="0.25">
      <c r="A41" t="s">
        <v>57</v>
      </c>
      <c r="B41" s="8">
        <v>-18</v>
      </c>
      <c r="C41" t="s">
        <v>51</v>
      </c>
      <c r="D41" t="s">
        <v>58</v>
      </c>
    </row>
    <row r="42" spans="1:16" x14ac:dyDescent="0.25">
      <c r="A42" s="15" t="s">
        <v>63</v>
      </c>
      <c r="B42" s="16">
        <f>B31*B40</f>
        <v>1.5004108836507592E+27</v>
      </c>
      <c r="C42" s="15" t="s">
        <v>53</v>
      </c>
    </row>
    <row r="43" spans="1:16" x14ac:dyDescent="0.25">
      <c r="A43" t="s">
        <v>54</v>
      </c>
      <c r="B43" s="8">
        <v>259.63846251149846</v>
      </c>
      <c r="C43" t="s">
        <v>65</v>
      </c>
      <c r="D43" t="s">
        <v>55</v>
      </c>
      <c r="L43" t="s">
        <v>56</v>
      </c>
    </row>
    <row r="44" spans="1:16" x14ac:dyDescent="0.25">
      <c r="A44" s="15" t="s">
        <v>64</v>
      </c>
      <c r="B44" s="16">
        <f>B33*B43</f>
        <v>9.9964506193950993E+23</v>
      </c>
      <c r="C44" s="15" t="s">
        <v>69</v>
      </c>
    </row>
    <row r="45" spans="1:16" x14ac:dyDescent="0.25">
      <c r="A45" s="15" t="s">
        <v>66</v>
      </c>
      <c r="B45" s="19">
        <f>B44/(B44+B42)</f>
        <v>6.6580395089982499E-4</v>
      </c>
      <c r="C45" s="15" t="s">
        <v>89</v>
      </c>
      <c r="D45" s="15"/>
      <c r="E45" s="15"/>
    </row>
    <row r="46" spans="1:16" x14ac:dyDescent="0.25">
      <c r="B46" s="9"/>
    </row>
    <row r="47" spans="1:16" x14ac:dyDescent="0.25">
      <c r="A47" t="s">
        <v>36</v>
      </c>
    </row>
    <row r="48" spans="1:16" x14ac:dyDescent="0.25">
      <c r="A48" t="s">
        <v>45</v>
      </c>
    </row>
    <row r="49" spans="1:7" x14ac:dyDescent="0.25">
      <c r="A49" t="s">
        <v>37</v>
      </c>
      <c r="C49" t="s">
        <v>38</v>
      </c>
    </row>
    <row r="51" spans="1:7" x14ac:dyDescent="0.25">
      <c r="A51" s="20" t="s">
        <v>35</v>
      </c>
    </row>
    <row r="52" spans="1:7" x14ac:dyDescent="0.25">
      <c r="A52" t="s">
        <v>12</v>
      </c>
      <c r="B52" t="s">
        <v>13</v>
      </c>
    </row>
    <row r="53" spans="1:7" x14ac:dyDescent="0.25">
      <c r="A53" t="s">
        <v>17</v>
      </c>
      <c r="B53" t="s">
        <v>18</v>
      </c>
    </row>
    <row r="54" spans="1:7" x14ac:dyDescent="0.25">
      <c r="A54" t="s">
        <v>20</v>
      </c>
      <c r="B54" t="s">
        <v>10</v>
      </c>
    </row>
    <row r="55" spans="1:7" x14ac:dyDescent="0.25">
      <c r="A55" t="s">
        <v>24</v>
      </c>
      <c r="B55" s="1" t="s">
        <v>1</v>
      </c>
    </row>
    <row r="56" spans="1:7" x14ac:dyDescent="0.25">
      <c r="A56" t="s">
        <v>25</v>
      </c>
      <c r="B56" s="1" t="s">
        <v>0</v>
      </c>
    </row>
    <row r="57" spans="1:7" x14ac:dyDescent="0.25">
      <c r="A57" t="s">
        <v>46</v>
      </c>
      <c r="B57" t="s">
        <v>28</v>
      </c>
    </row>
    <row r="58" spans="1:7" x14ac:dyDescent="0.25">
      <c r="A58" t="s">
        <v>47</v>
      </c>
      <c r="B58" t="s">
        <v>31</v>
      </c>
    </row>
    <row r="59" spans="1:7" x14ac:dyDescent="0.25">
      <c r="A59" t="s">
        <v>48</v>
      </c>
      <c r="B59" t="s">
        <v>34</v>
      </c>
    </row>
    <row r="60" spans="1:7" x14ac:dyDescent="0.25">
      <c r="A60" t="s">
        <v>49</v>
      </c>
      <c r="B60" t="s">
        <v>13</v>
      </c>
    </row>
    <row r="61" spans="1:7" x14ac:dyDescent="0.25">
      <c r="A61" t="s">
        <v>57</v>
      </c>
      <c r="B61" t="s">
        <v>58</v>
      </c>
    </row>
    <row r="63" spans="1:7" x14ac:dyDescent="0.25">
      <c r="A63" s="3" t="s">
        <v>111</v>
      </c>
      <c r="B63" s="3" t="s">
        <v>112</v>
      </c>
      <c r="C63" s="3" t="s">
        <v>110</v>
      </c>
      <c r="D63" s="3" t="s">
        <v>113</v>
      </c>
      <c r="E63" s="3" t="s">
        <v>114</v>
      </c>
      <c r="F63" s="12" t="s">
        <v>116</v>
      </c>
    </row>
    <row r="64" spans="1:7" x14ac:dyDescent="0.25">
      <c r="A64">
        <v>1361</v>
      </c>
      <c r="B64">
        <f>A64/4</f>
        <v>340.25</v>
      </c>
      <c r="C64">
        <v>0.30599999999999999</v>
      </c>
      <c r="D64">
        <f>(1-C64)*B64</f>
        <v>236.13349999999997</v>
      </c>
      <c r="E64">
        <f>(D64/5.67)^0.25*100</f>
        <v>254.0350468735281</v>
      </c>
      <c r="F64">
        <f>E64-B20</f>
        <v>-19.114953126471875</v>
      </c>
      <c r="G64" t="s">
        <v>123</v>
      </c>
    </row>
    <row r="65" spans="1:7" x14ac:dyDescent="0.25">
      <c r="A65" s="3" t="s">
        <v>111</v>
      </c>
      <c r="B65" s="3" t="s">
        <v>112</v>
      </c>
      <c r="C65" s="3" t="s">
        <v>110</v>
      </c>
      <c r="D65" s="3" t="s">
        <v>113</v>
      </c>
      <c r="E65" s="3" t="s">
        <v>114</v>
      </c>
      <c r="F65" s="12" t="s">
        <v>116</v>
      </c>
    </row>
    <row r="66" spans="1:7" x14ac:dyDescent="0.25">
      <c r="A66">
        <v>1361</v>
      </c>
      <c r="B66">
        <f>A66/4</f>
        <v>340.25</v>
      </c>
      <c r="C66">
        <v>0.11</v>
      </c>
      <c r="D66">
        <f>(1-C66)*B66</f>
        <v>302.82249999999999</v>
      </c>
      <c r="E66">
        <f>(D66/5.67)^0.25*100</f>
        <v>270.33437342249943</v>
      </c>
      <c r="F66">
        <f>E66-B22</f>
        <v>-510064471909517.94</v>
      </c>
      <c r="G66" t="s">
        <v>124</v>
      </c>
    </row>
    <row r="67" spans="1:7" x14ac:dyDescent="0.25">
      <c r="A67" s="3" t="s">
        <v>117</v>
      </c>
      <c r="B67" s="3" t="s">
        <v>115</v>
      </c>
    </row>
    <row r="68" spans="1:7" x14ac:dyDescent="0.25">
      <c r="A68">
        <v>1361</v>
      </c>
      <c r="B68">
        <f>A68</f>
        <v>1361</v>
      </c>
      <c r="C68">
        <v>0.11</v>
      </c>
      <c r="D68">
        <f>(1-C68)*B68</f>
        <v>1211.29</v>
      </c>
      <c r="E68">
        <f>(D68/5.67)^0.25*100</f>
        <v>382.31053726973141</v>
      </c>
      <c r="F68">
        <f>E68-B20</f>
        <v>109.16053726973144</v>
      </c>
    </row>
    <row r="69" spans="1:7" x14ac:dyDescent="0.25">
      <c r="A69" s="3" t="s">
        <v>118</v>
      </c>
      <c r="B69" s="3" t="s">
        <v>115</v>
      </c>
    </row>
    <row r="70" spans="1:7" x14ac:dyDescent="0.25">
      <c r="A70">
        <v>1361</v>
      </c>
      <c r="B70">
        <f>A70</f>
        <v>1361</v>
      </c>
      <c r="C70">
        <v>0.30599999999999999</v>
      </c>
      <c r="D70">
        <f>(1-C70)*B70</f>
        <v>944.53399999999988</v>
      </c>
      <c r="E70">
        <f>(D70/5.67)^0.25*100</f>
        <v>359.25980860662838</v>
      </c>
      <c r="F70">
        <f>E70-$B$20</f>
        <v>86.109808606628405</v>
      </c>
    </row>
    <row r="71" spans="1:7" x14ac:dyDescent="0.25">
      <c r="A71" s="3" t="s">
        <v>118</v>
      </c>
      <c r="B71" s="3" t="s">
        <v>115</v>
      </c>
    </row>
    <row r="72" spans="1:7" x14ac:dyDescent="0.25">
      <c r="A72">
        <v>1361</v>
      </c>
      <c r="B72">
        <f>A72</f>
        <v>1361</v>
      </c>
      <c r="C72">
        <v>0</v>
      </c>
      <c r="D72">
        <f>(1-C72)*B72</f>
        <v>1361</v>
      </c>
      <c r="E72">
        <f>(D72/5.67)^0.25*100</f>
        <v>393.61239546131299</v>
      </c>
      <c r="F72">
        <f>E72-$B$20</f>
        <v>120.46239546131301</v>
      </c>
    </row>
    <row r="74" spans="1:7" ht="30" x14ac:dyDescent="0.25">
      <c r="A74" s="3" t="s">
        <v>119</v>
      </c>
      <c r="B74" s="13" t="s">
        <v>122</v>
      </c>
      <c r="C74" s="14" t="s">
        <v>120</v>
      </c>
      <c r="D74" s="14" t="s">
        <v>121</v>
      </c>
    </row>
    <row r="75" spans="1:7" x14ac:dyDescent="0.25">
      <c r="A75">
        <f>273.15+4.658304</f>
        <v>277.80830399999996</v>
      </c>
      <c r="B75" s="2">
        <v>5.6703730000000003E-8</v>
      </c>
      <c r="C75">
        <v>1</v>
      </c>
      <c r="D75" s="6">
        <f>C75*B75*A75^4</f>
        <v>337.74779353516516</v>
      </c>
    </row>
    <row r="76" spans="1:7" x14ac:dyDescent="0.25">
      <c r="A76" s="3" t="s">
        <v>127</v>
      </c>
      <c r="D76" t="s">
        <v>128</v>
      </c>
    </row>
    <row r="77" spans="1:7" x14ac:dyDescent="0.25">
      <c r="A77">
        <v>390</v>
      </c>
      <c r="B77" s="2">
        <v>5.6703730000000003E-8</v>
      </c>
      <c r="C77">
        <v>1</v>
      </c>
      <c r="D77">
        <f>(A77/(C77*B77))^0.25</f>
        <v>287.98060832579131</v>
      </c>
    </row>
    <row r="78" spans="1:7" x14ac:dyDescent="0.25">
      <c r="A78">
        <v>238</v>
      </c>
      <c r="B78" s="2">
        <v>5.6703730000000003E-8</v>
      </c>
      <c r="C78">
        <v>1</v>
      </c>
      <c r="D78">
        <f>(A78/(C78*B78))^0.25</f>
        <v>254.53138008266885</v>
      </c>
    </row>
    <row r="79" spans="1:7" x14ac:dyDescent="0.25">
      <c r="A79" t="s">
        <v>125</v>
      </c>
    </row>
    <row r="80" spans="1:7" x14ac:dyDescent="0.25">
      <c r="A80" s="1" t="s">
        <v>126</v>
      </c>
    </row>
  </sheetData>
  <mergeCells count="1">
    <mergeCell ref="A1:G1"/>
  </mergeCells>
  <hyperlinks>
    <hyperlink ref="D18" r:id="rId1" xr:uid="{00000000-0004-0000-0000-000000000000}"/>
    <hyperlink ref="D23" r:id="rId2" xr:uid="{00000000-0004-0000-0000-000001000000}"/>
    <hyperlink ref="B55" r:id="rId3" xr:uid="{00000000-0004-0000-0000-000002000000}"/>
    <hyperlink ref="B56" r:id="rId4" xr:uid="{00000000-0004-0000-0000-000003000000}"/>
    <hyperlink ref="A80" r:id="rId5" xr:uid="{69BDBBF5-14EE-4D49-A89F-C2F164B7FEA7}"/>
  </hyperlinks>
  <pageMargins left="0.7" right="0.7" top="0.75" bottom="0.75" header="0.3" footer="0.3"/>
  <pageSetup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May</dc:creator>
  <cp:lastModifiedBy>Andy May</cp:lastModifiedBy>
  <dcterms:created xsi:type="dcterms:W3CDTF">2016-02-01T13:11:58Z</dcterms:created>
  <dcterms:modified xsi:type="dcterms:W3CDTF">2020-11-26T12:15:33Z</dcterms:modified>
</cp:coreProperties>
</file>